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GIC MODEL" sheetId="1" r:id="rId1"/>
  </sheets>
  <definedNames>
    <definedName name="_xlnm.Print_Area" localSheetId="0">'GIC MODEL'!$B$2:$H$60</definedName>
  </definedNames>
  <calcPr fullCalcOnLoad="1"/>
</workbook>
</file>

<file path=xl/sharedStrings.xml><?xml version="1.0" encoding="utf-8"?>
<sst xmlns="http://schemas.openxmlformats.org/spreadsheetml/2006/main" count="113" uniqueCount="67">
  <si>
    <t>City of Somerville Health Care Cost Comparisons between the                                                  City's Current Health Care Plans and GIC Plans</t>
  </si>
  <si>
    <t>SEIU-Local 888</t>
  </si>
  <si>
    <t>Please insert the aggregate number of services those covered under your plan will use in a typical year.</t>
  </si>
  <si>
    <t>SMEA A</t>
  </si>
  <si>
    <t>Doctor Visits:</t>
  </si>
  <si>
    <t>SMEA B</t>
  </si>
  <si>
    <t>Pediatric Visits:</t>
  </si>
  <si>
    <t>NCFO-LOCAL 3</t>
  </si>
  <si>
    <t>Specialist Physician Visits:</t>
  </si>
  <si>
    <t>SMEA D</t>
  </si>
  <si>
    <t>FAS/SUPPRESSION</t>
  </si>
  <si>
    <t>Retail Clinic Visits:</t>
  </si>
  <si>
    <t>NON-UNION</t>
  </si>
  <si>
    <t>1 (Individual Plan)</t>
  </si>
  <si>
    <t>Emergency Room Visits:</t>
  </si>
  <si>
    <t>SPSOA</t>
  </si>
  <si>
    <t>Hospital Admissions:</t>
  </si>
  <si>
    <t>SPEA</t>
  </si>
  <si>
    <t>3 or more</t>
  </si>
  <si>
    <t>Outpatient Surgeries:</t>
  </si>
  <si>
    <t>FAS/FIRE ALARM</t>
  </si>
  <si>
    <t>High-Tech Imaging Scans:</t>
  </si>
  <si>
    <t>SAA</t>
  </si>
  <si>
    <t>Perscriptions per year:</t>
  </si>
  <si>
    <t>STA A</t>
  </si>
  <si>
    <t>STA Para</t>
  </si>
  <si>
    <t>Harvard Pilgrim</t>
  </si>
  <si>
    <t>STA SEU</t>
  </si>
  <si>
    <t>Number of individuals covered on your plan:</t>
  </si>
  <si>
    <t>Tufts</t>
  </si>
  <si>
    <t>District 1596 UAW</t>
  </si>
  <si>
    <t>BCBS PPO</t>
  </si>
  <si>
    <t>SCALE</t>
  </si>
  <si>
    <t>Network Blue</t>
  </si>
  <si>
    <t>AFSCME Cafeteria</t>
  </si>
  <si>
    <t xml:space="preserve">  Employee  </t>
  </si>
  <si>
    <t xml:space="preserve">      City      </t>
  </si>
  <si>
    <t>AFSCME Secretaries</t>
  </si>
  <si>
    <t>Current Contribution Split</t>
  </si>
  <si>
    <t>GIC Contribution Split</t>
  </si>
  <si>
    <t>Your Current Costs</t>
  </si>
  <si>
    <t>Premiums</t>
  </si>
  <si>
    <t xml:space="preserve">Harvard Pilgrim </t>
  </si>
  <si>
    <t>Deductibles</t>
  </si>
  <si>
    <t>Co-pays</t>
  </si>
  <si>
    <t>Total Healthcare Costs</t>
  </si>
  <si>
    <t>Plans Available on the GIC</t>
  </si>
  <si>
    <t>Harvard HMO</t>
  </si>
  <si>
    <t>Harvard PPO</t>
  </si>
  <si>
    <t>Tufts HMO</t>
  </si>
  <si>
    <t>Tufts PPO</t>
  </si>
  <si>
    <t>Fallon Direct HMO</t>
  </si>
  <si>
    <t>Fallon Select HMO</t>
  </si>
  <si>
    <t xml:space="preserve"> New Eng. HMO</t>
  </si>
  <si>
    <t>NHP Care HMO</t>
  </si>
  <si>
    <t>Preventive Care Visits:</t>
  </si>
  <si>
    <t>Please select the appropriate response from the drop-down menus below.</t>
  </si>
  <si>
    <t>Your current health care plan:</t>
  </si>
  <si>
    <t>Your union affiliation:</t>
  </si>
  <si>
    <r>
      <t>Savings (</t>
    </r>
    <r>
      <rPr>
        <i/>
        <sz val="12"/>
        <color indexed="10"/>
        <rFont val="Arial"/>
        <family val="2"/>
      </rPr>
      <t>Add'l Cost</t>
    </r>
    <r>
      <rPr>
        <i/>
        <sz val="12"/>
        <rFont val="Arial"/>
        <family val="2"/>
      </rPr>
      <t>)</t>
    </r>
  </si>
  <si>
    <t>*Assumes all visits are in-network and all doctors, hospitals and perscriptions are Tier 2.</t>
  </si>
  <si>
    <t xml:space="preserve">Note: This model was developed to assist employees in comparing health care plans; however, as each individual's health care needs are different, this model should only be used as a guide.  You should examine your personal situation before making any health care plan changes. </t>
  </si>
  <si>
    <t>Physical or Occupational Therapy Visits:</t>
  </si>
  <si>
    <t>UniCare Basic</t>
  </si>
  <si>
    <t>UniCare Comm. Choice</t>
  </si>
  <si>
    <t>UniCare Plus</t>
  </si>
  <si>
    <t>**Premium rates are for the date range of 7/1/11 through 6/30/2012.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</si>
</sst>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59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59"/>
      <name val="Arial"/>
      <family val="0"/>
    </font>
    <font>
      <sz val="11"/>
      <color indexed="62"/>
      <name val="Calibri"/>
      <family val="2"/>
    </font>
    <font>
      <sz val="12"/>
      <color indexed="5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9"/>
      <name val="Arial"/>
      <family val="0"/>
    </font>
    <font>
      <u val="single"/>
      <sz val="12"/>
      <name val="Arial"/>
      <family val="0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9"/>
      <name val="Arial"/>
      <family val="0"/>
    </font>
    <font>
      <b/>
      <i/>
      <sz val="10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3" xfId="0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2" fillId="3" borderId="0" xfId="0" applyFont="1" applyFill="1" applyBorder="1" applyAlignment="1">
      <alignment horizontal="right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9" fontId="10" fillId="0" borderId="0" xfId="21" applyFont="1" applyFill="1" applyBorder="1" applyAlignment="1">
      <alignment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9" fontId="12" fillId="3" borderId="0" xfId="21" applyFont="1" applyFill="1" applyBorder="1" applyAlignment="1" applyProtection="1">
      <alignment horizontal="center"/>
      <protection/>
    </xf>
    <xf numFmtId="9" fontId="12" fillId="3" borderId="0" xfId="0" applyNumberFormat="1" applyFont="1" applyFill="1" applyBorder="1" applyAlignment="1">
      <alignment horizontal="center"/>
    </xf>
    <xf numFmtId="9" fontId="12" fillId="3" borderId="6" xfId="21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6" fillId="3" borderId="7" xfId="0" applyFont="1" applyFill="1" applyBorder="1" applyAlignment="1">
      <alignment/>
    </xf>
    <xf numFmtId="0" fontId="16" fillId="3" borderId="8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6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9" xfId="0" applyFont="1" applyFill="1" applyBorder="1" applyAlignment="1">
      <alignment/>
    </xf>
    <xf numFmtId="167" fontId="12" fillId="3" borderId="10" xfId="17" applyNumberFormat="1" applyFont="1" applyFill="1" applyBorder="1" applyAlignment="1">
      <alignment/>
    </xf>
    <xf numFmtId="167" fontId="12" fillId="3" borderId="0" xfId="17" applyNumberFormat="1" applyFont="1" applyFill="1" applyBorder="1" applyAlignment="1">
      <alignment/>
    </xf>
    <xf numFmtId="167" fontId="12" fillId="3" borderId="4" xfId="17" applyNumberFormat="1" applyFont="1" applyFill="1" applyBorder="1" applyAlignment="1">
      <alignment/>
    </xf>
    <xf numFmtId="167" fontId="12" fillId="2" borderId="0" xfId="17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7" fontId="10" fillId="0" borderId="0" xfId="17" applyNumberFormat="1" applyFont="1" applyFill="1" applyBorder="1" applyAlignment="1">
      <alignment/>
    </xf>
    <xf numFmtId="167" fontId="12" fillId="3" borderId="12" xfId="17" applyNumberFormat="1" applyFont="1" applyFill="1" applyBorder="1" applyAlignment="1">
      <alignment/>
    </xf>
    <xf numFmtId="167" fontId="12" fillId="0" borderId="0" xfId="17" applyNumberFormat="1" applyFont="1" applyFill="1" applyBorder="1" applyAlignment="1">
      <alignment/>
    </xf>
    <xf numFmtId="167" fontId="12" fillId="0" borderId="10" xfId="17" applyNumberFormat="1" applyFont="1" applyFill="1" applyBorder="1" applyAlignment="1">
      <alignment/>
    </xf>
    <xf numFmtId="0" fontId="11" fillId="3" borderId="13" xfId="0" applyFont="1" applyFill="1" applyBorder="1" applyAlignment="1">
      <alignment/>
    </xf>
    <xf numFmtId="167" fontId="11" fillId="3" borderId="0" xfId="17" applyNumberFormat="1" applyFont="1" applyFill="1" applyBorder="1" applyAlignment="1">
      <alignment/>
    </xf>
    <xf numFmtId="167" fontId="11" fillId="3" borderId="4" xfId="17" applyNumberFormat="1" applyFont="1" applyFill="1" applyBorder="1" applyAlignment="1">
      <alignment/>
    </xf>
    <xf numFmtId="167" fontId="11" fillId="2" borderId="0" xfId="17" applyNumberFormat="1" applyFont="1" applyFill="1" applyBorder="1" applyAlignment="1">
      <alignment/>
    </xf>
    <xf numFmtId="167" fontId="12" fillId="0" borderId="14" xfId="17" applyNumberFormat="1" applyFont="1" applyFill="1" applyBorder="1" applyAlignment="1">
      <alignment/>
    </xf>
    <xf numFmtId="167" fontId="12" fillId="0" borderId="12" xfId="17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0" fillId="2" borderId="0" xfId="0" applyFill="1" applyBorder="1" applyAlignment="1">
      <alignment/>
    </xf>
    <xf numFmtId="167" fontId="13" fillId="0" borderId="0" xfId="17" applyNumberFormat="1" applyFont="1" applyFill="1" applyBorder="1" applyAlignment="1">
      <alignment/>
    </xf>
    <xf numFmtId="167" fontId="11" fillId="0" borderId="0" xfId="17" applyNumberFormat="1" applyFont="1" applyFill="1" applyBorder="1" applyAlignment="1">
      <alignment/>
    </xf>
    <xf numFmtId="167" fontId="11" fillId="0" borderId="15" xfId="17" applyNumberFormat="1" applyFont="1" applyFill="1" applyBorder="1" applyAlignment="1">
      <alignment/>
    </xf>
    <xf numFmtId="167" fontId="11" fillId="0" borderId="16" xfId="17" applyNumberFormat="1" applyFont="1" applyFill="1" applyBorder="1" applyAlignment="1">
      <alignment/>
    </xf>
    <xf numFmtId="0" fontId="16" fillId="3" borderId="11" xfId="0" applyFont="1" applyFill="1" applyBorder="1" applyAlignment="1">
      <alignment horizontal="center"/>
    </xf>
    <xf numFmtId="167" fontId="12" fillId="3" borderId="14" xfId="17" applyNumberFormat="1" applyFont="1" applyFill="1" applyBorder="1" applyAlignment="1">
      <alignment/>
    </xf>
    <xf numFmtId="0" fontId="11" fillId="3" borderId="9" xfId="0" applyFont="1" applyFill="1" applyBorder="1" applyAlignment="1">
      <alignment/>
    </xf>
    <xf numFmtId="167" fontId="11" fillId="3" borderId="10" xfId="17" applyNumberFormat="1" applyFont="1" applyFill="1" applyBorder="1" applyAlignment="1">
      <alignment/>
    </xf>
    <xf numFmtId="167" fontId="11" fillId="0" borderId="10" xfId="17" applyNumberFormat="1" applyFont="1" applyFill="1" applyBorder="1" applyAlignment="1">
      <alignment/>
    </xf>
    <xf numFmtId="0" fontId="18" fillId="2" borderId="0" xfId="0" applyFont="1" applyFill="1" applyAlignment="1">
      <alignment/>
    </xf>
    <xf numFmtId="0" fontId="18" fillId="3" borderId="3" xfId="0" applyFont="1" applyFill="1" applyBorder="1" applyAlignment="1">
      <alignment/>
    </xf>
    <xf numFmtId="0" fontId="20" fillId="3" borderId="9" xfId="0" applyFont="1" applyFill="1" applyBorder="1" applyAlignment="1">
      <alignment/>
    </xf>
    <xf numFmtId="8" fontId="20" fillId="3" borderId="0" xfId="17" applyNumberFormat="1" applyFont="1" applyFill="1" applyBorder="1" applyAlignment="1">
      <alignment/>
    </xf>
    <xf numFmtId="8" fontId="20" fillId="3" borderId="10" xfId="17" applyNumberFormat="1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167" fontId="20" fillId="0" borderId="0" xfId="17" applyNumberFormat="1" applyFont="1" applyFill="1" applyBorder="1" applyAlignment="1">
      <alignment/>
    </xf>
    <xf numFmtId="8" fontId="20" fillId="0" borderId="0" xfId="17" applyNumberFormat="1" applyFont="1" applyFill="1" applyBorder="1" applyAlignment="1">
      <alignment/>
    </xf>
    <xf numFmtId="8" fontId="20" fillId="0" borderId="10" xfId="17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0" fillId="3" borderId="13" xfId="0" applyFont="1" applyFill="1" applyBorder="1" applyAlignment="1">
      <alignment/>
    </xf>
    <xf numFmtId="8" fontId="20" fillId="3" borderId="15" xfId="17" applyNumberFormat="1" applyFont="1" applyFill="1" applyBorder="1" applyAlignment="1">
      <alignment/>
    </xf>
    <xf numFmtId="8" fontId="20" fillId="3" borderId="16" xfId="17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4" xfId="0" applyFont="1" applyFill="1" applyBorder="1" applyAlignment="1">
      <alignment wrapText="1"/>
    </xf>
    <xf numFmtId="0" fontId="0" fillId="3" borderId="18" xfId="0" applyFill="1" applyBorder="1" applyAlignment="1">
      <alignment/>
    </xf>
    <xf numFmtId="0" fontId="0" fillId="2" borderId="19" xfId="0" applyFill="1" applyBorder="1" applyAlignment="1">
      <alignment/>
    </xf>
    <xf numFmtId="167" fontId="11" fillId="3" borderId="16" xfId="17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indent="1"/>
    </xf>
    <xf numFmtId="0" fontId="12" fillId="3" borderId="0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6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</xdr:row>
      <xdr:rowOff>66675</xdr:rowOff>
    </xdr:from>
    <xdr:to>
      <xdr:col>7</xdr:col>
      <xdr:colOff>190500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765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10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.57421875" style="8" customWidth="1"/>
    <col min="2" max="2" width="9.140625" style="65" customWidth="1"/>
    <col min="3" max="3" width="28.140625" style="15" customWidth="1"/>
    <col min="4" max="4" width="22.140625" style="0" customWidth="1"/>
    <col min="5" max="5" width="22.421875" style="0" customWidth="1"/>
    <col min="6" max="6" width="22.140625" style="0" customWidth="1"/>
    <col min="7" max="7" width="23.7109375" style="0" customWidth="1"/>
    <col min="8" max="8" width="6.00390625" style="15" customWidth="1"/>
    <col min="9" max="9" width="25.00390625" style="65" hidden="1" customWidth="1"/>
    <col min="10" max="13" width="25.00390625" style="2" hidden="1" customWidth="1"/>
    <col min="14" max="18" width="25.00390625" style="7" hidden="1" customWidth="1"/>
    <col min="19" max="19" width="25.00390625" style="8" customWidth="1"/>
    <col min="20" max="20" width="9.7109375" style="8" customWidth="1"/>
    <col min="21" max="25" width="9.140625" style="8" customWidth="1"/>
  </cols>
  <sheetData>
    <row r="1" spans="10:18" s="1" customFormat="1" ht="14.25" customHeight="1" thickBot="1">
      <c r="J1" s="2"/>
      <c r="K1" s="2"/>
      <c r="L1" s="2"/>
      <c r="M1" s="2"/>
      <c r="N1" s="3"/>
      <c r="O1" s="3"/>
      <c r="P1" s="3"/>
      <c r="Q1" s="3"/>
      <c r="R1" s="3"/>
    </row>
    <row r="2" spans="2:9" ht="24" customHeight="1" thickTop="1">
      <c r="B2" s="4"/>
      <c r="C2" s="112" t="s">
        <v>0</v>
      </c>
      <c r="D2" s="112"/>
      <c r="E2" s="112"/>
      <c r="F2" s="112"/>
      <c r="G2" s="112"/>
      <c r="H2" s="5"/>
      <c r="I2" s="6"/>
    </row>
    <row r="3" spans="2:30" ht="25.5" customHeight="1">
      <c r="B3" s="9"/>
      <c r="C3" s="113"/>
      <c r="D3" s="113"/>
      <c r="E3" s="113"/>
      <c r="F3" s="113"/>
      <c r="G3" s="113"/>
      <c r="H3" s="10"/>
      <c r="I3" s="11"/>
      <c r="J3" s="12"/>
      <c r="K3" s="13" t="s">
        <v>1</v>
      </c>
      <c r="L3" s="2">
        <v>0.2</v>
      </c>
      <c r="M3" s="13"/>
      <c r="N3" s="13"/>
      <c r="O3" s="13"/>
      <c r="P3" s="13"/>
      <c r="Q3" s="13"/>
      <c r="R3" s="13"/>
      <c r="S3" s="107"/>
      <c r="T3" s="107"/>
      <c r="U3" s="107"/>
      <c r="V3" s="107"/>
      <c r="W3" s="108"/>
      <c r="X3" s="109"/>
      <c r="Y3" s="109"/>
      <c r="Z3" s="2"/>
      <c r="AA3" s="2"/>
      <c r="AB3" s="2"/>
      <c r="AC3" s="2"/>
      <c r="AD3" s="2"/>
    </row>
    <row r="4" spans="2:30" ht="18.75" customHeight="1">
      <c r="B4" s="9"/>
      <c r="D4" s="16"/>
      <c r="F4" s="17" t="s">
        <v>2</v>
      </c>
      <c r="G4" s="16"/>
      <c r="H4" s="18"/>
      <c r="I4" s="19"/>
      <c r="J4" s="20"/>
      <c r="K4" s="13" t="s">
        <v>3</v>
      </c>
      <c r="L4" s="2">
        <v>0.2</v>
      </c>
      <c r="N4" s="2"/>
      <c r="O4" s="2"/>
      <c r="P4" s="2"/>
      <c r="Q4" s="2"/>
      <c r="R4" s="2"/>
      <c r="S4" s="109"/>
      <c r="T4" s="109"/>
      <c r="U4" s="109"/>
      <c r="V4" s="109"/>
      <c r="W4" s="109"/>
      <c r="X4" s="109"/>
      <c r="Y4" s="109"/>
      <c r="Z4" s="2"/>
      <c r="AA4" s="2"/>
      <c r="AB4" s="2"/>
      <c r="AC4" s="2"/>
      <c r="AD4" s="2"/>
    </row>
    <row r="5" spans="2:30" ht="15.75" customHeight="1">
      <c r="B5" s="9"/>
      <c r="C5" s="21"/>
      <c r="D5" s="22" t="s">
        <v>55</v>
      </c>
      <c r="E5" s="23">
        <v>4</v>
      </c>
      <c r="F5" s="17"/>
      <c r="G5" s="16"/>
      <c r="H5" s="18"/>
      <c r="I5" s="19"/>
      <c r="J5" s="20"/>
      <c r="K5" s="13" t="s">
        <v>5</v>
      </c>
      <c r="L5" s="2">
        <v>0.15</v>
      </c>
      <c r="N5" s="2"/>
      <c r="O5" s="2"/>
      <c r="P5" s="2"/>
      <c r="Q5" s="2"/>
      <c r="R5" s="2"/>
      <c r="S5" s="109"/>
      <c r="T5" s="109"/>
      <c r="U5" s="109"/>
      <c r="V5" s="109"/>
      <c r="W5" s="109"/>
      <c r="X5" s="109"/>
      <c r="Y5" s="109"/>
      <c r="Z5" s="2"/>
      <c r="AA5" s="2"/>
      <c r="AB5" s="2"/>
      <c r="AC5" s="2"/>
      <c r="AD5" s="2"/>
    </row>
    <row r="6" spans="2:12" ht="15.75">
      <c r="B6" s="9"/>
      <c r="C6" s="21"/>
      <c r="D6" s="22" t="s">
        <v>4</v>
      </c>
      <c r="E6" s="23">
        <v>12</v>
      </c>
      <c r="F6" s="24"/>
      <c r="G6" s="24"/>
      <c r="H6" s="25"/>
      <c r="I6" s="26"/>
      <c r="J6" s="14"/>
      <c r="K6" s="13" t="s">
        <v>7</v>
      </c>
      <c r="L6" s="2">
        <v>0.25</v>
      </c>
    </row>
    <row r="7" spans="2:14" ht="15.75">
      <c r="B7" s="9"/>
      <c r="C7" s="21"/>
      <c r="D7" s="22" t="s">
        <v>6</v>
      </c>
      <c r="E7" s="23">
        <v>0</v>
      </c>
      <c r="F7" s="24"/>
      <c r="G7" s="24"/>
      <c r="H7" s="25"/>
      <c r="I7" s="26"/>
      <c r="J7" s="14"/>
      <c r="K7" s="13" t="s">
        <v>9</v>
      </c>
      <c r="L7" s="2">
        <v>0.2</v>
      </c>
      <c r="N7" s="27"/>
    </row>
    <row r="8" spans="2:12" ht="15.75">
      <c r="B8" s="9"/>
      <c r="C8" s="21"/>
      <c r="D8" s="22" t="s">
        <v>8</v>
      </c>
      <c r="E8" s="23">
        <v>0</v>
      </c>
      <c r="F8" s="24"/>
      <c r="G8" s="24"/>
      <c r="H8" s="25"/>
      <c r="I8" s="26"/>
      <c r="J8" s="14"/>
      <c r="K8" s="13" t="s">
        <v>10</v>
      </c>
      <c r="L8" s="2">
        <v>0.15</v>
      </c>
    </row>
    <row r="9" spans="2:12" ht="15.75">
      <c r="B9" s="9"/>
      <c r="C9" s="21"/>
      <c r="D9" s="22" t="s">
        <v>62</v>
      </c>
      <c r="E9" s="23">
        <v>0</v>
      </c>
      <c r="F9" s="24"/>
      <c r="G9" s="24"/>
      <c r="H9" s="25"/>
      <c r="I9" s="26"/>
      <c r="J9" s="14"/>
      <c r="K9" s="13" t="s">
        <v>12</v>
      </c>
      <c r="L9" s="2">
        <v>0.25</v>
      </c>
    </row>
    <row r="10" spans="2:16" ht="15.75">
      <c r="B10" s="9"/>
      <c r="C10" s="21"/>
      <c r="D10" s="22" t="s">
        <v>11</v>
      </c>
      <c r="E10" s="23">
        <v>10</v>
      </c>
      <c r="F10" s="24"/>
      <c r="G10" s="24"/>
      <c r="H10" s="25"/>
      <c r="I10" s="26"/>
      <c r="J10" s="14"/>
      <c r="K10" s="13" t="s">
        <v>15</v>
      </c>
      <c r="L10" s="2">
        <v>0.2</v>
      </c>
      <c r="P10" s="28" t="s">
        <v>13</v>
      </c>
    </row>
    <row r="11" spans="2:16" ht="15.75">
      <c r="B11" s="9"/>
      <c r="C11" s="21"/>
      <c r="D11" s="22" t="s">
        <v>14</v>
      </c>
      <c r="E11" s="23">
        <v>1</v>
      </c>
      <c r="F11" s="24"/>
      <c r="G11" s="24"/>
      <c r="H11" s="25"/>
      <c r="I11" s="26"/>
      <c r="J11" s="14"/>
      <c r="K11" s="13" t="s">
        <v>17</v>
      </c>
      <c r="L11" s="2">
        <v>0.2</v>
      </c>
      <c r="P11" s="28">
        <v>2</v>
      </c>
    </row>
    <row r="12" spans="2:16" ht="15.75">
      <c r="B12" s="9"/>
      <c r="C12" s="21"/>
      <c r="D12" s="22" t="s">
        <v>16</v>
      </c>
      <c r="E12" s="23">
        <v>1</v>
      </c>
      <c r="F12" s="24"/>
      <c r="G12" s="24"/>
      <c r="H12" s="25"/>
      <c r="I12" s="26"/>
      <c r="J12" s="14"/>
      <c r="K12" s="13" t="s">
        <v>20</v>
      </c>
      <c r="L12" s="2">
        <v>0.15</v>
      </c>
      <c r="P12" s="28" t="s">
        <v>18</v>
      </c>
    </row>
    <row r="13" spans="2:12" ht="15">
      <c r="B13" s="9"/>
      <c r="C13" s="21"/>
      <c r="D13" s="22" t="s">
        <v>19</v>
      </c>
      <c r="E13" s="23">
        <v>0</v>
      </c>
      <c r="F13" s="24"/>
      <c r="G13" s="24"/>
      <c r="H13" s="25"/>
      <c r="I13" s="26"/>
      <c r="J13" s="14"/>
      <c r="K13" s="14" t="s">
        <v>22</v>
      </c>
      <c r="L13" s="2">
        <v>0.15</v>
      </c>
    </row>
    <row r="14" spans="2:12" ht="15">
      <c r="B14" s="9"/>
      <c r="C14" s="21"/>
      <c r="D14" s="22" t="s">
        <v>21</v>
      </c>
      <c r="E14" s="23">
        <v>1</v>
      </c>
      <c r="F14" s="24"/>
      <c r="G14" s="24"/>
      <c r="H14" s="25"/>
      <c r="I14" s="26"/>
      <c r="J14" s="14"/>
      <c r="K14" s="2" t="s">
        <v>24</v>
      </c>
      <c r="L14" s="2">
        <v>0.15</v>
      </c>
    </row>
    <row r="15" spans="2:13" ht="15">
      <c r="B15" s="9"/>
      <c r="C15" s="21"/>
      <c r="D15" s="22" t="s">
        <v>23</v>
      </c>
      <c r="E15" s="23">
        <v>12</v>
      </c>
      <c r="F15" s="24"/>
      <c r="G15" s="24"/>
      <c r="H15" s="25"/>
      <c r="I15" s="26"/>
      <c r="J15" s="14"/>
      <c r="K15" s="2" t="s">
        <v>25</v>
      </c>
      <c r="L15" s="2">
        <v>0.15</v>
      </c>
      <c r="M15" s="29"/>
    </row>
    <row r="16" spans="2:12" ht="6.75" customHeight="1">
      <c r="B16" s="9"/>
      <c r="C16" s="21"/>
      <c r="D16" s="22"/>
      <c r="E16" s="30"/>
      <c r="F16" s="24"/>
      <c r="G16" s="24"/>
      <c r="H16" s="25"/>
      <c r="I16" s="26"/>
      <c r="J16" s="14"/>
      <c r="K16" s="2" t="s">
        <v>27</v>
      </c>
      <c r="L16" s="2">
        <v>0.15</v>
      </c>
    </row>
    <row r="17" spans="2:12" ht="18.75" customHeight="1">
      <c r="B17" s="9"/>
      <c r="C17" s="21"/>
      <c r="D17" s="22"/>
      <c r="E17" s="106" t="s">
        <v>56</v>
      </c>
      <c r="F17" s="24"/>
      <c r="G17" s="24"/>
      <c r="H17" s="25"/>
      <c r="I17" s="26"/>
      <c r="J17" s="14"/>
      <c r="K17" s="2" t="s">
        <v>30</v>
      </c>
      <c r="L17" s="2">
        <v>0.15</v>
      </c>
    </row>
    <row r="18" spans="2:12" ht="16.5" customHeight="1">
      <c r="B18" s="9"/>
      <c r="C18" s="21"/>
      <c r="D18" s="22" t="s">
        <v>57</v>
      </c>
      <c r="E18" s="23" t="s">
        <v>26</v>
      </c>
      <c r="F18" s="105"/>
      <c r="G18" s="24"/>
      <c r="H18" s="25"/>
      <c r="I18" s="26"/>
      <c r="J18" s="2" t="s">
        <v>26</v>
      </c>
      <c r="K18" s="2" t="s">
        <v>32</v>
      </c>
      <c r="L18" s="2">
        <v>0.15</v>
      </c>
    </row>
    <row r="19" spans="2:12" ht="15.75" customHeight="1">
      <c r="B19" s="9"/>
      <c r="C19" s="21"/>
      <c r="D19" s="22" t="s">
        <v>28</v>
      </c>
      <c r="E19" s="23" t="s">
        <v>18</v>
      </c>
      <c r="F19" s="105"/>
      <c r="G19" s="24"/>
      <c r="H19" s="25"/>
      <c r="I19" s="26"/>
      <c r="J19" s="2" t="s">
        <v>29</v>
      </c>
      <c r="K19" s="2" t="s">
        <v>34</v>
      </c>
      <c r="L19" s="2">
        <v>0.15</v>
      </c>
    </row>
    <row r="20" spans="2:12" ht="15.75" customHeight="1">
      <c r="B20" s="9"/>
      <c r="C20" s="21"/>
      <c r="D20" s="22" t="s">
        <v>58</v>
      </c>
      <c r="E20" s="23" t="s">
        <v>12</v>
      </c>
      <c r="F20" s="105"/>
      <c r="G20" s="24"/>
      <c r="H20" s="25"/>
      <c r="I20" s="26"/>
      <c r="J20" s="2" t="s">
        <v>31</v>
      </c>
      <c r="K20" s="2" t="s">
        <v>37</v>
      </c>
      <c r="L20" s="2">
        <v>0.15</v>
      </c>
    </row>
    <row r="21" spans="2:10" ht="6.75" customHeight="1">
      <c r="B21" s="9"/>
      <c r="C21" s="21"/>
      <c r="D21" s="22"/>
      <c r="E21" s="24"/>
      <c r="F21" s="24"/>
      <c r="G21" s="24"/>
      <c r="H21" s="25"/>
      <c r="I21" s="26"/>
      <c r="J21" s="2" t="s">
        <v>33</v>
      </c>
    </row>
    <row r="22" spans="2:9" ht="15">
      <c r="B22" s="9"/>
      <c r="C22" s="31"/>
      <c r="D22" s="32" t="s">
        <v>35</v>
      </c>
      <c r="E22" s="32" t="s">
        <v>36</v>
      </c>
      <c r="F22" s="24"/>
      <c r="G22" s="24"/>
      <c r="H22" s="25"/>
      <c r="I22" s="26"/>
    </row>
    <row r="23" spans="2:9" ht="15">
      <c r="B23" s="9"/>
      <c r="C23" s="22" t="s">
        <v>38</v>
      </c>
      <c r="D23" s="33">
        <f>$K$24</f>
        <v>0.25</v>
      </c>
      <c r="E23" s="34">
        <f>100%-D23</f>
        <v>0.75</v>
      </c>
      <c r="F23" s="24"/>
      <c r="G23" s="24"/>
      <c r="H23" s="25"/>
      <c r="I23" s="26"/>
    </row>
    <row r="24" spans="2:11" ht="15">
      <c r="B24" s="9"/>
      <c r="C24" s="22" t="s">
        <v>39</v>
      </c>
      <c r="D24" s="35">
        <f>D23</f>
        <v>0.25</v>
      </c>
      <c r="E24" s="34">
        <f>100%-D24</f>
        <v>0.75</v>
      </c>
      <c r="F24" s="24"/>
      <c r="G24" s="24"/>
      <c r="H24" s="25"/>
      <c r="I24" s="26"/>
      <c r="J24" s="14"/>
      <c r="K24" s="2">
        <f>IF(OR($E$20="SEIU-Local 888",$E$20="SMEA A",$E$20="SMEA D",$E$20="SPSOA",$E$20="SPEA"),0.2,IF(OR($E$20="NCFO-Local 3",$E$20="NON-UNION"),0.25,IF(OR($E$20="SMEA B",$E$20="FAS/SUPPRESSION",$E$20="FAS/FIRE ALARM",$E$20="SAA",$E$20="STA A",$E$20="STA Para",$E$20="STA SEU",$E$20="District 1596 UAW",$E$20="SCALE",$E$20="AFSCME Cafeteria",$E$20="AFSCME Secretaries"),0.15,error)))</f>
        <v>0.25</v>
      </c>
    </row>
    <row r="25" spans="2:10" ht="4.5" customHeight="1">
      <c r="B25" s="9"/>
      <c r="C25" s="31"/>
      <c r="D25" s="31"/>
      <c r="E25" s="31"/>
      <c r="F25" s="31"/>
      <c r="G25" s="31"/>
      <c r="H25" s="36"/>
      <c r="I25" s="37"/>
      <c r="J25" s="14"/>
    </row>
    <row r="26" spans="2:10" ht="18.75">
      <c r="B26" s="9"/>
      <c r="C26" s="38" t="s">
        <v>40</v>
      </c>
      <c r="D26" s="31"/>
      <c r="E26" s="31"/>
      <c r="F26" s="31"/>
      <c r="G26" s="31"/>
      <c r="H26" s="36"/>
      <c r="I26" s="37"/>
      <c r="J26" s="14"/>
    </row>
    <row r="27" spans="2:10" ht="15.75">
      <c r="B27" s="9"/>
      <c r="C27" s="39"/>
      <c r="D27" s="40" t="str">
        <f>IF($E$18="Harvard Pilgrim",IF($E$19="1 (Individual Plan)",$O$28,$J$28),IF($E$18="Tufts",IF($E$19="1 (Individual Plan)",$P$28,$K$28),IF($E$18="BCBS PPO",IF($E$19="1 (Individual Plan)",$Q$28,$L$28),IF($E$18="Network Blue",IF($E$19="1 (Individual Plan)",$R$28,$M$28),error))))</f>
        <v>Harvard Pilgrim </v>
      </c>
      <c r="E27" s="41"/>
      <c r="F27" s="42"/>
      <c r="G27" s="42"/>
      <c r="H27" s="43"/>
      <c r="I27" s="44"/>
      <c r="J27" s="14"/>
    </row>
    <row r="28" spans="2:18" ht="15.75">
      <c r="B28" s="9"/>
      <c r="C28" s="45" t="s">
        <v>41</v>
      </c>
      <c r="D28" s="46">
        <f>IF($E$18="Harvard Pilgrim",IF($E$19="1 (Individual Plan)",$O$29,$J$29),IF($E$18="Tufts",IF($E$19="1 (Individual Plan)",$P$29,$K$29),IF($E$18="BCBS PPO",IF($E$19="1 (Individual Plan)",$Q$29,$L$29),IF($E$18="Network Blue",IF($E$19="1 (Individual Plan)",$R$29,$M$29),error))))</f>
        <v>6253.025489374999</v>
      </c>
      <c r="E28" s="41"/>
      <c r="F28" s="47"/>
      <c r="G28" s="47"/>
      <c r="H28" s="48"/>
      <c r="I28" s="49"/>
      <c r="J28" s="50" t="s">
        <v>42</v>
      </c>
      <c r="K28" s="51" t="s">
        <v>29</v>
      </c>
      <c r="L28" s="50" t="s">
        <v>31</v>
      </c>
      <c r="M28" s="50" t="s">
        <v>33</v>
      </c>
      <c r="O28" s="52" t="s">
        <v>26</v>
      </c>
      <c r="P28" s="52" t="s">
        <v>29</v>
      </c>
      <c r="Q28" s="52" t="s">
        <v>31</v>
      </c>
      <c r="R28" s="53" t="s">
        <v>33</v>
      </c>
    </row>
    <row r="29" spans="2:18" ht="15">
      <c r="B29" s="9"/>
      <c r="C29" s="45" t="s">
        <v>43</v>
      </c>
      <c r="D29" s="46">
        <v>0</v>
      </c>
      <c r="E29" s="41"/>
      <c r="F29" s="47"/>
      <c r="G29" s="47"/>
      <c r="H29" s="48"/>
      <c r="I29" s="49"/>
      <c r="J29" s="54">
        <f>((23480.03*0.25)+((23480.03*1.087)*0.75))*$K$24</f>
        <v>6253.025489374999</v>
      </c>
      <c r="K29" s="54">
        <f>((25203.06*0.25)+((25203.06*1.087)*0.75))*$K$24</f>
        <v>6711.88991625</v>
      </c>
      <c r="L29" s="54">
        <f>((26508.39*0.25)+((26508.39*1.087)*0.75))*$K$24</f>
        <v>7059.515611874999</v>
      </c>
      <c r="M29" s="54">
        <f>((25092.39*0.25)+((25092.39*1.087)*0.75))*$K$24</f>
        <v>6682.417111874999</v>
      </c>
      <c r="O29" s="54">
        <f>((8661*0.25)+((8661*1.12)*0.75))*$K$24</f>
        <v>2360.1225000000004</v>
      </c>
      <c r="P29" s="54">
        <f>((8467.9*0.25)+((8467.9*1.12)*0.75))*$K$24</f>
        <v>2307.50275</v>
      </c>
      <c r="Q29" s="54">
        <f>((10595.15*0.25)+((10595.15*1.12)*0.75))*$K$24</f>
        <v>2887.1783750000004</v>
      </c>
      <c r="R29" s="54">
        <f>((9351.97*0.25)+((9351.97*1.12)*0.75))*$K$24</f>
        <v>2548.411825</v>
      </c>
    </row>
    <row r="30" spans="2:18" ht="15.75" thickBot="1">
      <c r="B30" s="9"/>
      <c r="C30" s="45" t="s">
        <v>44</v>
      </c>
      <c r="D30" s="55">
        <f>IF($E$18="Harvard Pilgrim",IF($E$19="1 (Individual Plan)",$O$31,$J$31),IF($E$18="Tufts",IF($E$19="1 (Individual Plan)",$P$31,$K$31),IF($E$18="BCBS PPO",IF($E$19="1 (Individual Plan)",$Q$31,$L$31),IF($E$18="Network Blue",IF($E$19="1 (Individual Plan)",$R$31,$M$31),error))))</f>
        <v>200</v>
      </c>
      <c r="E30" s="41"/>
      <c r="F30" s="47"/>
      <c r="G30" s="47"/>
      <c r="H30" s="48"/>
      <c r="I30" s="49"/>
      <c r="J30" s="54">
        <v>0</v>
      </c>
      <c r="K30" s="56">
        <v>0</v>
      </c>
      <c r="L30" s="54">
        <v>0</v>
      </c>
      <c r="M30" s="54">
        <v>0</v>
      </c>
      <c r="O30" s="56">
        <v>0</v>
      </c>
      <c r="P30" s="56">
        <v>0</v>
      </c>
      <c r="Q30" s="56">
        <v>0</v>
      </c>
      <c r="R30" s="57">
        <v>0</v>
      </c>
    </row>
    <row r="31" spans="2:18" ht="17.25" thickBot="1" thickTop="1">
      <c r="B31" s="9"/>
      <c r="C31" s="58" t="s">
        <v>45</v>
      </c>
      <c r="D31" s="104">
        <f>SUM(D28:D30)</f>
        <v>6453.025489374999</v>
      </c>
      <c r="E31" s="59"/>
      <c r="F31" s="59"/>
      <c r="G31" s="59"/>
      <c r="H31" s="60"/>
      <c r="I31" s="61"/>
      <c r="J31" s="54">
        <f>($E$6*5)+($E$7*5)+($E$8*5)+($E$9*5)+($E$10*5)+($E$11*30)+($E$12*0)+($E$13*0)+($E$14*0)+($E$15*5)</f>
        <v>200</v>
      </c>
      <c r="K31" s="56">
        <f>($E$6*5)+($E$7*5)+($E$8*5)+($E$9*5)+($E$10*5)+($E$11*25)+($E$12*0)+($E$13*0)+($E$14*0)+($E$15*5)</f>
        <v>195</v>
      </c>
      <c r="L31" s="54">
        <f>($E$6*10)+($E$7*10)+($E$8*10)+($E$9*10)+($E$10*10)+($E$11*50)+($E$12*10)+($E$13*10)+($E$14*10)+($E$15*10)</f>
        <v>410</v>
      </c>
      <c r="M31" s="54">
        <f>($E$6*5)+($E$7*5)+($E$8*5)+($E$9*5)+($E$10*5)+($E$11*25)+($E$12*0)+($E$13*0)+($E$14*0)+($E$15*5)</f>
        <v>195</v>
      </c>
      <c r="O31" s="62">
        <f>($E$6*5)+($E$7*5)+($E$8*5)+($E$9*5)+($E$10*5)+($E$11*30)+($E$12*0)+($E$13*0)+($E$14*0)+($E$15*5)</f>
        <v>200</v>
      </c>
      <c r="P31" s="62">
        <f>($E$6*5)+($E$7*5)+($E$8*5)+($E$9*5)+($E$10*5)+($E$11*25)+($E$12*0)+($E$13*0)+($E$14*0)+($E$15*5)</f>
        <v>195</v>
      </c>
      <c r="Q31" s="62">
        <f>($E$6*10)+($E$7*10)+($E$8*10)+($E$9*10)+($E$10*10)+($E$11*50)+($E$12*10)+($E$13*10)+($E$14*10)+($E$15*5)</f>
        <v>350</v>
      </c>
      <c r="R31" s="63">
        <f>($E$6*5)+($E$7*5)+($E$8*5)+($E$9*5)+($E$10*5)+($E$11*25)+($E$12*0)+($E$13*0)+($E$14*0)+($E$15*5)</f>
        <v>195</v>
      </c>
    </row>
    <row r="32" spans="2:18" ht="4.5" customHeight="1" thickTop="1">
      <c r="B32" s="9"/>
      <c r="C32" s="21"/>
      <c r="D32" s="21"/>
      <c r="E32" s="21"/>
      <c r="F32" s="21"/>
      <c r="G32" s="21"/>
      <c r="H32" s="64"/>
      <c r="J32" s="66">
        <f>SUM(J29:J31)</f>
        <v>6453.025489374999</v>
      </c>
      <c r="K32" s="67">
        <f>SUM(K29:K31)</f>
        <v>6906.88991625</v>
      </c>
      <c r="L32" s="66">
        <f>SUM(L29:L31)</f>
        <v>7469.515611874999</v>
      </c>
      <c r="M32" s="66">
        <f>SUM(M29:M31)</f>
        <v>6877.417111874999</v>
      </c>
      <c r="O32" s="68">
        <f>SUM(O29:O31)</f>
        <v>2560.1225000000004</v>
      </c>
      <c r="P32" s="68">
        <f>SUM(P29:P31)</f>
        <v>2502.50275</v>
      </c>
      <c r="Q32" s="68">
        <f>SUM(Q29:Q31)</f>
        <v>3237.1783750000004</v>
      </c>
      <c r="R32" s="69">
        <f>SUM(R29:R31)</f>
        <v>2743.411825</v>
      </c>
    </row>
    <row r="33" spans="2:12" ht="18.75">
      <c r="B33" s="9"/>
      <c r="C33" s="38" t="s">
        <v>46</v>
      </c>
      <c r="D33" s="21"/>
      <c r="E33" s="21"/>
      <c r="F33" s="21"/>
      <c r="G33" s="21"/>
      <c r="H33" s="64"/>
      <c r="J33" s="66"/>
      <c r="K33" s="67"/>
      <c r="L33" s="66"/>
    </row>
    <row r="34" spans="2:18" ht="15.75">
      <c r="B34" s="9"/>
      <c r="C34" s="39"/>
      <c r="D34" s="70" t="s">
        <v>47</v>
      </c>
      <c r="E34" s="70" t="s">
        <v>48</v>
      </c>
      <c r="F34" s="70" t="s">
        <v>49</v>
      </c>
      <c r="G34" s="40" t="s">
        <v>50</v>
      </c>
      <c r="H34" s="64"/>
      <c r="J34" s="52" t="s">
        <v>47</v>
      </c>
      <c r="K34" s="52" t="s">
        <v>48</v>
      </c>
      <c r="L34" s="52" t="s">
        <v>49</v>
      </c>
      <c r="M34" s="53" t="s">
        <v>50</v>
      </c>
      <c r="O34" s="52" t="s">
        <v>47</v>
      </c>
      <c r="P34" s="52" t="s">
        <v>48</v>
      </c>
      <c r="Q34" s="52" t="s">
        <v>49</v>
      </c>
      <c r="R34" s="53" t="s">
        <v>50</v>
      </c>
    </row>
    <row r="35" spans="2:18" ht="15">
      <c r="B35" s="9"/>
      <c r="C35" s="45" t="s">
        <v>41</v>
      </c>
      <c r="D35" s="47">
        <f>IF($E$19="1 (Individual Plan)",O35,J35)</f>
        <v>3823.17</v>
      </c>
      <c r="E35" s="47">
        <f>IF($E$19="1 (Individual Plan)",P35,K35)</f>
        <v>4778.97</v>
      </c>
      <c r="F35" s="47">
        <f>IF($E$19="1 (Individual Plan)",Q35,L35)</f>
        <v>3455.01</v>
      </c>
      <c r="G35" s="46">
        <f>IF($E$19="1 (Individual Plan)",R35,M35)</f>
        <v>4318.7699999999995</v>
      </c>
      <c r="H35" s="64"/>
      <c r="J35" s="56">
        <f>(1274.39*12)*$D$24</f>
        <v>3823.17</v>
      </c>
      <c r="K35" s="56">
        <f>(1592.99*12)*$D$24</f>
        <v>4778.97</v>
      </c>
      <c r="L35" s="56">
        <f>(1151.67*12)*$D$24</f>
        <v>3455.01</v>
      </c>
      <c r="M35" s="57">
        <f>(1439.59*12)*$D$24</f>
        <v>4318.7699999999995</v>
      </c>
      <c r="O35" s="56">
        <f>(522.29*12)*$D$24</f>
        <v>1566.87</v>
      </c>
      <c r="P35" s="56">
        <f>(652.86*12)*D24</f>
        <v>1958.58</v>
      </c>
      <c r="Q35" s="56">
        <f>(472.28*12)*D24</f>
        <v>1416.84</v>
      </c>
      <c r="R35" s="57">
        <f>(590.34*12)*D24</f>
        <v>1771.02</v>
      </c>
    </row>
    <row r="36" spans="2:18" ht="15">
      <c r="B36" s="9"/>
      <c r="C36" s="45" t="s">
        <v>43</v>
      </c>
      <c r="D36" s="47">
        <f>IF($E$19="1 (Individual Plan)",250,IF($E$19&lt;3,$E$19*250,750))</f>
        <v>750</v>
      </c>
      <c r="E36" s="47">
        <f>IF($E$19="1 (Individual Plan)",250,IF($E$19&lt;3,$E$19*250,750))</f>
        <v>750</v>
      </c>
      <c r="F36" s="47">
        <f>IF($E$19="1 (Individual Plan)",250,IF($E$19&lt;3,$E$19*250,750))</f>
        <v>750</v>
      </c>
      <c r="G36" s="46">
        <f>IF($E$19="1 (Individual Plan)",250,IF($E$19&lt;3,$E$19*250,750))</f>
        <v>750</v>
      </c>
      <c r="H36" s="64"/>
      <c r="J36" s="56">
        <f>IF($E$19="1 (Individual Plan)",250,IF($E$19&lt;3,$E$19*250,750))</f>
        <v>750</v>
      </c>
      <c r="K36" s="56">
        <f>IF($E$19="1 (Individual Plan)",250,IF($E$19&lt;3,$E$19*250,750))</f>
        <v>750</v>
      </c>
      <c r="L36" s="56">
        <f>IF($E$19="1 (Individual Plan)",250,IF($E$19&lt;3,$E$19*250,750))</f>
        <v>750</v>
      </c>
      <c r="M36" s="56">
        <f>IF($E$19="1 (Individual Plan)",250,IF($E$19&lt;3,$E$19*250,750))</f>
        <v>750</v>
      </c>
      <c r="O36" s="56">
        <f>IF($E$19="1 (Individual Plan)",250,IF($E$19&lt;3,$E$19*250,750))</f>
        <v>750</v>
      </c>
      <c r="P36" s="56">
        <f>IF($E$19="1 (Individual Plan)",250,IF($E$19&lt;3,$E$19*250,750))</f>
        <v>750</v>
      </c>
      <c r="Q36" s="56">
        <f>IF($E$19="1 (Individual Plan)",250,IF($E$19&lt;3,$E$19*250,750))</f>
        <v>750</v>
      </c>
      <c r="R36" s="56">
        <f>IF($E$19="1 (Individual Plan)",250,IF($E$19&lt;3,$E$19*250,750))</f>
        <v>750</v>
      </c>
    </row>
    <row r="37" spans="2:18" ht="15.75" thickBot="1">
      <c r="B37" s="9"/>
      <c r="C37" s="45" t="s">
        <v>44</v>
      </c>
      <c r="D37" s="71">
        <f>IF($E$19="1 (Individual Plan)",O37,J37)</f>
        <v>1440</v>
      </c>
      <c r="E37" s="71">
        <f>IF($E$19="1 (Individual Plan)",P37,K37)</f>
        <v>1440</v>
      </c>
      <c r="F37" s="71">
        <f>IF($E$19="1 (Individual Plan)",Q37,L37)</f>
        <v>1640</v>
      </c>
      <c r="G37" s="55">
        <f>IF($E$19="1 (Individual Plan)",R37,M37)</f>
        <v>1640</v>
      </c>
      <c r="H37" s="64"/>
      <c r="J37" s="62">
        <f>($E$6*20)+($E$7*20)+($E$8*35)+($E$9*20)+($E$10*20)+($E$11*100)+($E$12*500)+($E$13*150)+($E$14*100)+($E$15*25)</f>
        <v>1440</v>
      </c>
      <c r="K37" s="62">
        <f>($E$6*20)+($E$7*20)+($E$8*35)+($E$9*20)+($E$10*20)+($E$11*100)+($E$12*500)+($E$13*150)+($E$14*100)+($E$15*25)</f>
        <v>1440</v>
      </c>
      <c r="L37" s="62">
        <f>($E$6*20)+($E$7*20)+($E$8*35)+($E$9*20)+($E$10*20)+($E$11*100)+($E$12*700)+($E$13*150)+($E$14*100)+($E$15*25)</f>
        <v>1640</v>
      </c>
      <c r="M37" s="63">
        <f>($E$6*20)+($E$7*20)+($E$8*35)+($E$9*20)+($E$10*20)+($E$11*100)+($E$12*700)+($E$13*150)+($E$14*100)+($E$15*25)</f>
        <v>1640</v>
      </c>
      <c r="O37" s="62">
        <f>($E$6*20)+($E$7*20)+($E$8*35)+($E$9*20)+($E$10*20)+($E$11*100)+($E$12*500)+($E$13*150)+($E$14*100)+($E$15*25)</f>
        <v>1440</v>
      </c>
      <c r="P37" s="62">
        <f>($E$6*20)+($E$7*20)+($E$8*35)+($E$9*20)+($E$10*20)+($E$11*100)+($E$12*500)+($E$13*150)+($E$14*100)+($E$15*25)</f>
        <v>1440</v>
      </c>
      <c r="Q37" s="62">
        <f>($E$6*20)+($E$7*20)+($E$8*35)+($E$9*20)+($E$10*20)+($E$11*100)+($E$12*700)+($E$13*150)+($E$14*100)+($E$15*25)</f>
        <v>1640</v>
      </c>
      <c r="R37" s="63">
        <f>($E$6*20)+($E$7*20)+($E$8*35)+($E$9*20)+($E$10*20)+($E$11*100)+($E$12*700)+($E$13*150)+($E$14*100)+($E$15*25)</f>
        <v>1640</v>
      </c>
    </row>
    <row r="38" spans="2:18" ht="16.5" thickTop="1">
      <c r="B38" s="9"/>
      <c r="C38" s="72" t="s">
        <v>45</v>
      </c>
      <c r="D38" s="59">
        <f>SUM(D35:D37)</f>
        <v>6013.17</v>
      </c>
      <c r="E38" s="59">
        <f>SUM(E35:E37)</f>
        <v>6968.97</v>
      </c>
      <c r="F38" s="59">
        <f>SUM(F35:F37)</f>
        <v>5845.01</v>
      </c>
      <c r="G38" s="73">
        <f>SUM(G35:G37)</f>
        <v>6708.7699999999995</v>
      </c>
      <c r="H38" s="64"/>
      <c r="J38" s="67">
        <f>SUM(J35:J37)</f>
        <v>6013.17</v>
      </c>
      <c r="K38" s="67">
        <f>SUM(K35:K37)</f>
        <v>6968.97</v>
      </c>
      <c r="L38" s="67">
        <f>SUM(L35:L37)</f>
        <v>5845.01</v>
      </c>
      <c r="M38" s="74">
        <f>SUM(M35:M37)</f>
        <v>6708.7699999999995</v>
      </c>
      <c r="O38" s="67">
        <f>SUM(O35:O37)</f>
        <v>3756.87</v>
      </c>
      <c r="P38" s="67">
        <f>SUM(P35:P37)</f>
        <v>4148.58</v>
      </c>
      <c r="Q38" s="67">
        <f>SUM(Q35:Q37)</f>
        <v>3806.84</v>
      </c>
      <c r="R38" s="74">
        <f>SUM(R35:R37)</f>
        <v>4161.02</v>
      </c>
    </row>
    <row r="39" spans="1:25" s="88" customFormat="1" ht="15">
      <c r="A39" s="75"/>
      <c r="B39" s="76"/>
      <c r="C39" s="77" t="s">
        <v>59</v>
      </c>
      <c r="D39" s="78">
        <f>$D$31-D38</f>
        <v>439.8554893749988</v>
      </c>
      <c r="E39" s="78">
        <f>$D$31-E38</f>
        <v>-515.9445106250014</v>
      </c>
      <c r="F39" s="78">
        <f>$D$31-F38</f>
        <v>608.0154893749987</v>
      </c>
      <c r="G39" s="79">
        <f>$D$31-G38</f>
        <v>-255.74451062500066</v>
      </c>
      <c r="H39" s="80"/>
      <c r="I39" s="81"/>
      <c r="J39" s="82">
        <f>$D$31-J38</f>
        <v>439.8554893749988</v>
      </c>
      <c r="K39" s="82">
        <f>$D$31-K38</f>
        <v>-515.9445106250014</v>
      </c>
      <c r="L39" s="83">
        <f>$D$31-L38</f>
        <v>608.0154893749987</v>
      </c>
      <c r="M39" s="84">
        <f>$D$31-M38</f>
        <v>-255.74451062500066</v>
      </c>
      <c r="N39" s="85"/>
      <c r="O39" s="86"/>
      <c r="P39" s="86"/>
      <c r="Q39" s="86"/>
      <c r="R39" s="87"/>
      <c r="S39" s="75"/>
      <c r="T39" s="75"/>
      <c r="U39" s="75"/>
      <c r="V39" s="75"/>
      <c r="W39" s="75"/>
      <c r="X39" s="75"/>
      <c r="Y39" s="75"/>
    </row>
    <row r="40" spans="2:13" ht="8.25" customHeight="1">
      <c r="B40" s="9"/>
      <c r="C40" s="89"/>
      <c r="D40" s="21"/>
      <c r="E40" s="21"/>
      <c r="F40" s="21"/>
      <c r="G40" s="90"/>
      <c r="H40" s="64"/>
      <c r="J40" s="86"/>
      <c r="K40" s="86"/>
      <c r="L40" s="86"/>
      <c r="M40" s="87"/>
    </row>
    <row r="41" spans="2:18" ht="15.75">
      <c r="B41" s="9"/>
      <c r="C41" s="91"/>
      <c r="D41" s="42" t="s">
        <v>51</v>
      </c>
      <c r="E41" s="42" t="s">
        <v>52</v>
      </c>
      <c r="F41" s="42" t="s">
        <v>53</v>
      </c>
      <c r="G41" s="92" t="s">
        <v>54</v>
      </c>
      <c r="H41" s="64"/>
      <c r="J41" s="51" t="s">
        <v>51</v>
      </c>
      <c r="K41" s="51" t="s">
        <v>52</v>
      </c>
      <c r="L41" s="51" t="s">
        <v>53</v>
      </c>
      <c r="M41" s="93" t="s">
        <v>54</v>
      </c>
      <c r="O41" s="51" t="s">
        <v>51</v>
      </c>
      <c r="P41" s="51" t="s">
        <v>52</v>
      </c>
      <c r="Q41" s="51" t="s">
        <v>53</v>
      </c>
      <c r="R41" s="93" t="s">
        <v>54</v>
      </c>
    </row>
    <row r="42" spans="2:18" ht="15">
      <c r="B42" s="9"/>
      <c r="C42" s="45" t="s">
        <v>41</v>
      </c>
      <c r="D42" s="47">
        <f>IF($E$19="1 (Individual Plan)",O42,J42)</f>
        <v>3224.04</v>
      </c>
      <c r="E42" s="47">
        <f>IF($E$19="1 (Individual Plan)",P42,K42)</f>
        <v>3988.71</v>
      </c>
      <c r="F42" s="47">
        <f>IF($E$19="1 (Individual Plan)",Q42,L42)</f>
        <v>3251.37</v>
      </c>
      <c r="G42" s="46">
        <f>IF($E$19="1 (Individual Plan)",R42,M42)</f>
        <v>3561.57</v>
      </c>
      <c r="H42" s="64"/>
      <c r="J42" s="56">
        <f>(1074.68*12)*$D$24</f>
        <v>3224.04</v>
      </c>
      <c r="K42" s="56">
        <f>(1329.57*12)*$D$24</f>
        <v>3988.71</v>
      </c>
      <c r="L42" s="56">
        <f>(1083.79*12)*$D$24</f>
        <v>3251.37</v>
      </c>
      <c r="M42" s="57">
        <f>(1187.19*12)*$D$24</f>
        <v>3561.57</v>
      </c>
      <c r="O42" s="56">
        <f>(447.79*12)*D24</f>
        <v>1343.3700000000001</v>
      </c>
      <c r="P42" s="56">
        <f>(554*12)*D24</f>
        <v>1662</v>
      </c>
      <c r="Q42" s="56">
        <f>(437.21*12)*D24</f>
        <v>1311.6299999999999</v>
      </c>
      <c r="R42" s="57">
        <f>(448*12)*D24</f>
        <v>1344</v>
      </c>
    </row>
    <row r="43" spans="2:18" ht="15">
      <c r="B43" s="9"/>
      <c r="C43" s="45" t="s">
        <v>43</v>
      </c>
      <c r="D43" s="47">
        <f>IF($E$19="1 (Individual Plan)",250,IF($E$19&lt;3,$E$19*250,750))</f>
        <v>750</v>
      </c>
      <c r="E43" s="47">
        <f>IF($E$19="1 (Individual Plan)",250,IF($E$19&lt;3,$E$19*250,750))</f>
        <v>750</v>
      </c>
      <c r="F43" s="47">
        <f>IF($E$19="1 (Individual Plan)",250,IF($E$19&lt;3,$E$19*250,750))</f>
        <v>750</v>
      </c>
      <c r="G43" s="46">
        <f>IF($E$19="1 (Individual Plan)",250,IF($E$19&lt;3,$E$19*250,750))</f>
        <v>750</v>
      </c>
      <c r="H43" s="64"/>
      <c r="J43" s="56">
        <f>IF($E$19="1 (Individual Plan)",250,IF($E$19&lt;3,$E$19*250,750))</f>
        <v>750</v>
      </c>
      <c r="K43" s="56">
        <f>IF($E$19="1 (Individual Plan)",250,IF($E$19&lt;3,$E$19*250,750))</f>
        <v>750</v>
      </c>
      <c r="L43" s="56">
        <f>IF($E$19="1 (Individual Plan)",250,IF($E$19&lt;3,$E$19*250,750))</f>
        <v>750</v>
      </c>
      <c r="M43" s="56">
        <f>IF($E$19="1 (Individual Plan)",250,IF($E$19&lt;3,$E$19*250,750))</f>
        <v>750</v>
      </c>
      <c r="O43" s="56">
        <f>IF($E$19="1 (Individual Plan)",250,IF($E$19&lt;3,$E$19*250,750))</f>
        <v>750</v>
      </c>
      <c r="P43" s="56">
        <f>IF($E$19="1 (Individual Plan)",250,IF($E$19&lt;3,$E$19*250,750))</f>
        <v>750</v>
      </c>
      <c r="Q43" s="56">
        <f>IF($E$19="1 (Individual Plan)",250,IF($E$19&lt;3,$E$19*250,750))</f>
        <v>750</v>
      </c>
      <c r="R43" s="56">
        <f>IF($E$19="1 (Individual Plan)",250,IF($E$19&lt;3,$E$19*250,750))</f>
        <v>750</v>
      </c>
    </row>
    <row r="44" spans="2:18" ht="15.75" thickBot="1">
      <c r="B44" s="9"/>
      <c r="C44" s="45" t="s">
        <v>44</v>
      </c>
      <c r="D44" s="71">
        <f>IF($E$19="1 (Individual Plan)",O44,J44)</f>
        <v>1030</v>
      </c>
      <c r="E44" s="71">
        <f>IF($E$19="1 (Individual Plan)",P44,K44)</f>
        <v>1190</v>
      </c>
      <c r="F44" s="71">
        <f>IF($E$19="1 (Individual Plan)",Q44,L44)</f>
        <v>1190</v>
      </c>
      <c r="G44" s="55">
        <f>IF($E$19="1 (Individual Plan)",R44,M44)</f>
        <v>1250</v>
      </c>
      <c r="H44" s="64"/>
      <c r="J44" s="62">
        <f>($E$6*15)+($E$7*5)+($E$8*25)+($E$9*15)+($E$10*15)+($E$11*100)+($E$12*200)+($E$13*110)+($E$14*100)+($E$15*25)</f>
        <v>1030</v>
      </c>
      <c r="K44" s="62">
        <f>($E$6*20)+($E$7*10)+($E$8*35)+($E$9*25)+($E$10*20)+($E$11*100)+($E$12*250)+($E$13*125)+($E$14*100)+($E$15*25)</f>
        <v>1190</v>
      </c>
      <c r="L44" s="62">
        <f>($E$6*20)+($E$7*20)+($E$8*35)+($E$9*25)+($E$10*20)+($E$11*100)+($E$12*250)+($E$13*110)+($E$14*100)+($E$15*25)</f>
        <v>1190</v>
      </c>
      <c r="M44" s="63">
        <f>($E$6*25)+($E$7*15)+($E$8*35)+($E$9*25)+($E$10*20)+($E$11*100)+($E$12*250)+($E$13*110)+($E$14*100)+($E$15*25)</f>
        <v>1250</v>
      </c>
      <c r="O44" s="62">
        <f>($E$6*15)+($E$7*5)+($E$8*25)+($E$9*15)+($E$10*15)+($E$11*100)+($E$12*200)+($E$13*110)+($E$14*100)+($E$15*25)</f>
        <v>1030</v>
      </c>
      <c r="P44" s="62">
        <f>($E$6*20)+($E$7*10)+($E$8*35)+($E$9*25)+($E$10*20)+($E$11*100)+($E$12*250)+($E$13*125)+($E$14*100)+($E$15*25)</f>
        <v>1190</v>
      </c>
      <c r="Q44" s="62">
        <f>($E$6*20)+($E$7*20)+($E$8*35)+($E$9*25)+($E$10*20)+($E$11*100)+($E$12*250)+($E$13*110)+($E$14*100)+($E$15*25)</f>
        <v>1190</v>
      </c>
      <c r="R44" s="63">
        <f>($E$6*25)+($E$7*15)+($E$8*35)+($E$9*25)+($E$10*20)+($E$11*100)+($E$12*250)+($E$13*110)+($E$14*100)+($E$15*25)</f>
        <v>1250</v>
      </c>
    </row>
    <row r="45" spans="2:18" ht="16.5" thickTop="1">
      <c r="B45" s="9"/>
      <c r="C45" s="72" t="s">
        <v>45</v>
      </c>
      <c r="D45" s="59">
        <f>SUM(D42:D44)</f>
        <v>5004.04</v>
      </c>
      <c r="E45" s="59">
        <f>SUM(E42:E44)</f>
        <v>5928.71</v>
      </c>
      <c r="F45" s="59">
        <f>SUM(F42:F44)</f>
        <v>5191.37</v>
      </c>
      <c r="G45" s="73">
        <f>SUM(G42:G44)</f>
        <v>5561.57</v>
      </c>
      <c r="H45" s="64"/>
      <c r="J45" s="67">
        <f>SUM(J42:J44)</f>
        <v>5004.04</v>
      </c>
      <c r="K45" s="67">
        <f>SUM(K42:K44)</f>
        <v>5928.71</v>
      </c>
      <c r="L45" s="67">
        <f>SUM(L42:L44)</f>
        <v>5191.37</v>
      </c>
      <c r="M45" s="74">
        <f>SUM(M42:M44)</f>
        <v>5561.57</v>
      </c>
      <c r="O45" s="68">
        <f>SUM(O42:O44)</f>
        <v>3123.37</v>
      </c>
      <c r="P45" s="68">
        <f>SUM(P42:P44)</f>
        <v>3602</v>
      </c>
      <c r="Q45" s="68">
        <f>SUM(Q42:Q44)</f>
        <v>3251.63</v>
      </c>
      <c r="R45" s="69">
        <f>SUM(R42:R44)</f>
        <v>3344</v>
      </c>
    </row>
    <row r="46" spans="2:13" ht="15">
      <c r="B46" s="9"/>
      <c r="C46" s="77" t="s">
        <v>59</v>
      </c>
      <c r="D46" s="78">
        <f>$D$31-D45</f>
        <v>1448.985489374999</v>
      </c>
      <c r="E46" s="78">
        <f>$D$31-E45</f>
        <v>524.3154893749988</v>
      </c>
      <c r="F46" s="78">
        <f>$D$31-F45</f>
        <v>1261.655489374999</v>
      </c>
      <c r="G46" s="79">
        <f>$D$31-G45</f>
        <v>891.4554893749992</v>
      </c>
      <c r="H46" s="64"/>
      <c r="J46" s="82">
        <f>$D$31-J45</f>
        <v>1448.985489374999</v>
      </c>
      <c r="K46" s="83">
        <f>$D$31-K45</f>
        <v>524.3154893749988</v>
      </c>
      <c r="L46" s="83">
        <f>$D$31-L45</f>
        <v>1261.655489374999</v>
      </c>
      <c r="M46" s="84">
        <f>$D$31-M45</f>
        <v>891.4554893749992</v>
      </c>
    </row>
    <row r="47" spans="2:13" ht="8.25" customHeight="1">
      <c r="B47" s="9"/>
      <c r="C47" s="89"/>
      <c r="D47" s="21"/>
      <c r="E47" s="21"/>
      <c r="F47" s="21"/>
      <c r="G47" s="90"/>
      <c r="H47" s="64"/>
      <c r="J47" s="86"/>
      <c r="K47" s="86"/>
      <c r="L47" s="86"/>
      <c r="M47" s="87"/>
    </row>
    <row r="48" spans="2:18" ht="15.75">
      <c r="B48" s="9"/>
      <c r="C48" s="91"/>
      <c r="D48" s="110" t="s">
        <v>64</v>
      </c>
      <c r="E48" s="42" t="s">
        <v>63</v>
      </c>
      <c r="F48" s="42" t="s">
        <v>65</v>
      </c>
      <c r="G48" s="92"/>
      <c r="H48" s="64"/>
      <c r="J48" s="110" t="s">
        <v>64</v>
      </c>
      <c r="K48" s="42" t="s">
        <v>63</v>
      </c>
      <c r="L48" s="42" t="s">
        <v>65</v>
      </c>
      <c r="M48" s="93"/>
      <c r="O48" s="110" t="s">
        <v>64</v>
      </c>
      <c r="P48" s="42" t="s">
        <v>63</v>
      </c>
      <c r="Q48" s="42" t="s">
        <v>65</v>
      </c>
      <c r="R48" s="93"/>
    </row>
    <row r="49" spans="2:18" ht="15">
      <c r="B49" s="9"/>
      <c r="C49" s="45" t="s">
        <v>41</v>
      </c>
      <c r="D49" s="47">
        <f>IF($E$19="1 (Individual Plan)",O49,J49)</f>
        <v>2937.27</v>
      </c>
      <c r="E49" s="47">
        <f>IF($E$19="1 (Individual Plan)",P49,K49)</f>
        <v>5648.91</v>
      </c>
      <c r="F49" s="47">
        <f>IF($E$19="1 (Individual Plan)",Q49,L49)</f>
        <v>4029.66</v>
      </c>
      <c r="G49" s="46"/>
      <c r="H49" s="64"/>
      <c r="J49" s="56">
        <f>(979.09*12)*$D$24</f>
        <v>2937.27</v>
      </c>
      <c r="K49" s="56">
        <f>(1882.97*12)*$D$24</f>
        <v>5648.91</v>
      </c>
      <c r="L49" s="56">
        <f>(1343.22*12)*$D$24</f>
        <v>4029.66</v>
      </c>
      <c r="M49" s="57"/>
      <c r="O49" s="56">
        <f>(407.96*12)*D24</f>
        <v>1223.8799999999999</v>
      </c>
      <c r="P49" s="56">
        <f>(806.51*12)*D24</f>
        <v>2419.5299999999997</v>
      </c>
      <c r="Q49" s="56">
        <f>(562.84*12)*D24</f>
        <v>1688.52</v>
      </c>
      <c r="R49" s="57"/>
    </row>
    <row r="50" spans="2:18" ht="15">
      <c r="B50" s="9"/>
      <c r="C50" s="45" t="s">
        <v>43</v>
      </c>
      <c r="D50" s="47">
        <f>IF($E$19="1 (Individual Plan)",250,IF($E$19&lt;3,$E$19*250,750))</f>
        <v>750</v>
      </c>
      <c r="E50" s="47">
        <f>IF($E$19="1 (Individual Plan)",250,IF($E$19&lt;3,$E$19*250,750))</f>
        <v>750</v>
      </c>
      <c r="F50" s="47">
        <f>IF($E$19="1 (Individual Plan)",250,IF($E$19&lt;3,$E$19*250,750))</f>
        <v>750</v>
      </c>
      <c r="G50" s="46"/>
      <c r="H50" s="64"/>
      <c r="J50" s="56">
        <f>IF($E$19="1 (Individual Plan)",250,IF($E$19&lt;3,$E$19*250,750))</f>
        <v>750</v>
      </c>
      <c r="K50" s="56">
        <f>IF($E$19="1 (Individual Plan)",250,IF($E$19&lt;3,$E$19*250,750))</f>
        <v>750</v>
      </c>
      <c r="L50" s="56">
        <f>IF($E$19="1 (Individual Plan)",250,IF($E$19&lt;3,$E$19*250,750))</f>
        <v>750</v>
      </c>
      <c r="M50" s="56"/>
      <c r="O50" s="56">
        <f>IF($E$19="1 (Individual Plan)",250,IF($E$19&lt;3,$E$19*250,750))</f>
        <v>750</v>
      </c>
      <c r="P50" s="56">
        <f>IF($E$19="1 (Individual Plan)",250,IF($E$19&lt;3,$E$19*250,750))</f>
        <v>750</v>
      </c>
      <c r="Q50" s="56">
        <f>IF($E$19="1 (Individual Plan)",250,IF($E$19&lt;3,$E$19*250,750))</f>
        <v>750</v>
      </c>
      <c r="R50" s="56"/>
    </row>
    <row r="51" spans="2:18" ht="15.75" thickBot="1">
      <c r="B51" s="9"/>
      <c r="C51" s="45" t="s">
        <v>44</v>
      </c>
      <c r="D51" s="71">
        <f>IF($E$19="1 (Individual Plan)",O51,J51)</f>
        <v>1310</v>
      </c>
      <c r="E51" s="71">
        <f>IF($E$19="1 (Individual Plan)",P51,K51)</f>
        <v>1260</v>
      </c>
      <c r="F51" s="71">
        <f>IF($E$19="1 (Individual Plan)",Q51,L51)</f>
        <v>1560</v>
      </c>
      <c r="G51" s="55"/>
      <c r="H51" s="64"/>
      <c r="J51" s="62">
        <f>($E$6*30)+($E$7*30)+($E$8*30)+($E$9*15)+($E$10*20)+($E$11*100)+($E$12*250)+($E$13*110)+($E$14*100)+($E$15*25)</f>
        <v>1310</v>
      </c>
      <c r="K51" s="62">
        <f>($E$6*30)+($E$7*30)+($E$8*30)+($E$9*20)+($E$10*20)+($E$11*100)+($E$12*200)+($E$13*110)+($E$14*100)+($E$15*25)</f>
        <v>1260</v>
      </c>
      <c r="L51" s="62">
        <f>($E$6*30)+($E$7*30)+($E$8*30)+($E$9*15)+($E$10*20)+($E$11*100)+($E$12*500)+($E$13*110)+($E$14*100)+($E$15*25)</f>
        <v>1560</v>
      </c>
      <c r="M51" s="63"/>
      <c r="O51" s="62">
        <f>($E$6*30)+($E$7*30)+($E$8*30)+($E$9*15)+($E$10*20)+($E$11*100)+($E$12*250)+($E$13*110)+($E$14*100)+($E$15*25)</f>
        <v>1310</v>
      </c>
      <c r="P51" s="62">
        <f>($E$6*30)+($E$7*30)+($E$8*30)+($E$9*20)+($E$10*20)+($E$11*100)+($E$12*200)+($E$13*110)+($E$14*100)+($E$15*25)</f>
        <v>1260</v>
      </c>
      <c r="Q51" s="62">
        <f>($E$6*30)+($E$7*30)+($E$8*30)+($E$9*15)+($E$10*20)+($E$11*100)+($E$12*500)+($E$13*110)+($E$14*100)+($E$15*25)</f>
        <v>1560</v>
      </c>
      <c r="R51" s="63"/>
    </row>
    <row r="52" spans="2:18" ht="16.5" thickTop="1">
      <c r="B52" s="9"/>
      <c r="C52" s="72" t="s">
        <v>45</v>
      </c>
      <c r="D52" s="59">
        <f>SUM(D49:D51)</f>
        <v>4997.27</v>
      </c>
      <c r="E52" s="59">
        <f>SUM(E49:E51)</f>
        <v>7658.91</v>
      </c>
      <c r="F52" s="59">
        <f>SUM(F49:F51)</f>
        <v>6339.66</v>
      </c>
      <c r="G52" s="73"/>
      <c r="H52" s="64"/>
      <c r="J52" s="67">
        <f>SUM(J49:J51)</f>
        <v>4997.27</v>
      </c>
      <c r="K52" s="67">
        <f>SUM(K49:K51)</f>
        <v>7658.91</v>
      </c>
      <c r="L52" s="67">
        <f>SUM(L49:L51)</f>
        <v>6339.66</v>
      </c>
      <c r="M52" s="74"/>
      <c r="O52" s="68">
        <f>SUM(O49:O51)</f>
        <v>3283.88</v>
      </c>
      <c r="P52" s="68">
        <f>SUM(P49:P51)</f>
        <v>4429.53</v>
      </c>
      <c r="Q52" s="68">
        <f>SUM(Q49:Q51)</f>
        <v>3998.52</v>
      </c>
      <c r="R52" s="69"/>
    </row>
    <row r="53" spans="2:17" ht="15">
      <c r="B53" s="9"/>
      <c r="C53" s="77" t="s">
        <v>59</v>
      </c>
      <c r="D53" s="78">
        <f>$D$31-D52</f>
        <v>1455.7554893749984</v>
      </c>
      <c r="E53" s="78">
        <f>$D$31-E52</f>
        <v>-1205.884510625001</v>
      </c>
      <c r="F53" s="78">
        <f>$D$31-F52</f>
        <v>113.36548937499902</v>
      </c>
      <c r="G53" s="79"/>
      <c r="H53" s="64"/>
      <c r="J53" s="82">
        <f>$D$31-J52</f>
        <v>1455.7554893749984</v>
      </c>
      <c r="K53" s="83">
        <f>$D$31-K52</f>
        <v>-1205.884510625001</v>
      </c>
      <c r="L53" s="83">
        <f>$D$31-L52</f>
        <v>113.36548937499902</v>
      </c>
      <c r="M53" s="84"/>
      <c r="O53" s="82">
        <f>$D$31-O52</f>
        <v>3169.1454893749988</v>
      </c>
      <c r="P53" s="83">
        <f>$D$31-P52</f>
        <v>2023.4954893749991</v>
      </c>
      <c r="Q53" s="83">
        <f>$D$31-Q52</f>
        <v>2454.505489374999</v>
      </c>
    </row>
    <row r="54" spans="2:8" ht="4.5" customHeight="1">
      <c r="B54" s="9"/>
      <c r="C54" s="94"/>
      <c r="D54" s="95"/>
      <c r="E54" s="95"/>
      <c r="F54" s="95"/>
      <c r="G54" s="96"/>
      <c r="H54" s="64"/>
    </row>
    <row r="55" spans="2:8" ht="4.5" customHeight="1">
      <c r="B55" s="9"/>
      <c r="C55" s="97"/>
      <c r="D55" s="59"/>
      <c r="E55" s="59"/>
      <c r="F55" s="59"/>
      <c r="G55" s="59"/>
      <c r="H55" s="64"/>
    </row>
    <row r="56" spans="2:8" ht="12.75">
      <c r="B56" s="9"/>
      <c r="C56" s="98" t="s">
        <v>60</v>
      </c>
      <c r="D56" s="21"/>
      <c r="E56" s="21"/>
      <c r="F56" s="21"/>
      <c r="G56" s="21"/>
      <c r="H56" s="64"/>
    </row>
    <row r="57" spans="2:8" ht="12.75" customHeight="1">
      <c r="B57" s="9"/>
      <c r="C57" s="111" t="s">
        <v>66</v>
      </c>
      <c r="D57" s="111"/>
      <c r="E57" s="111"/>
      <c r="F57" s="111"/>
      <c r="G57" s="111"/>
      <c r="H57" s="64"/>
    </row>
    <row r="58" spans="2:8" ht="12.75" customHeight="1">
      <c r="B58" s="9"/>
      <c r="C58" s="111" t="s">
        <v>61</v>
      </c>
      <c r="D58" s="111"/>
      <c r="E58" s="111"/>
      <c r="F58" s="111"/>
      <c r="G58" s="111"/>
      <c r="H58" s="64"/>
    </row>
    <row r="59" spans="2:8" ht="12.75">
      <c r="B59" s="9"/>
      <c r="C59" s="111"/>
      <c r="D59" s="111"/>
      <c r="E59" s="111"/>
      <c r="F59" s="111"/>
      <c r="G59" s="111"/>
      <c r="H59" s="64"/>
    </row>
    <row r="60" spans="2:8" ht="6" customHeight="1" thickBot="1">
      <c r="B60" s="99"/>
      <c r="C60" s="100"/>
      <c r="D60" s="101"/>
      <c r="E60" s="101"/>
      <c r="F60" s="101"/>
      <c r="G60" s="101"/>
      <c r="H60" s="102"/>
    </row>
    <row r="61" spans="3:8" ht="14.25" thickBot="1" thickTop="1">
      <c r="C61" s="65"/>
      <c r="D61" s="103"/>
      <c r="E61" s="103"/>
      <c r="F61" s="103"/>
      <c r="G61" s="103"/>
      <c r="H61" s="65"/>
    </row>
    <row r="62" spans="3:8" ht="13.5" thickTop="1">
      <c r="C62" s="65"/>
      <c r="D62" s="8"/>
      <c r="E62" s="8"/>
      <c r="F62" s="8"/>
      <c r="G62" s="8"/>
      <c r="H62" s="65"/>
    </row>
    <row r="63" spans="3:8" ht="12.75">
      <c r="C63" s="65"/>
      <c r="D63" s="8"/>
      <c r="E63" s="8"/>
      <c r="F63" s="8"/>
      <c r="G63" s="8"/>
      <c r="H63" s="65"/>
    </row>
    <row r="64" spans="3:8" ht="12.75">
      <c r="C64" s="65"/>
      <c r="D64" s="8"/>
      <c r="E64" s="8"/>
      <c r="F64" s="8"/>
      <c r="G64" s="8"/>
      <c r="H64" s="65"/>
    </row>
    <row r="65" spans="3:8" ht="12.75">
      <c r="C65" s="65"/>
      <c r="D65" s="8"/>
      <c r="E65" s="8"/>
      <c r="F65" s="8"/>
      <c r="G65" s="8"/>
      <c r="H65" s="65"/>
    </row>
    <row r="66" spans="3:8" ht="12.75">
      <c r="C66" s="65"/>
      <c r="D66" s="8"/>
      <c r="E66" s="8"/>
      <c r="F66" s="8"/>
      <c r="G66" s="8"/>
      <c r="H66" s="65"/>
    </row>
    <row r="67" spans="3:8" ht="12.75">
      <c r="C67" s="65"/>
      <c r="D67" s="8"/>
      <c r="E67" s="8"/>
      <c r="F67" s="8"/>
      <c r="G67" s="8"/>
      <c r="H67" s="65"/>
    </row>
    <row r="68" spans="3:8" ht="12.75">
      <c r="C68" s="65"/>
      <c r="D68" s="8"/>
      <c r="E68" s="8"/>
      <c r="F68" s="8"/>
      <c r="G68" s="8"/>
      <c r="H68" s="65"/>
    </row>
    <row r="69" spans="3:8" ht="12.75">
      <c r="C69" s="65"/>
      <c r="D69" s="8"/>
      <c r="E69" s="8"/>
      <c r="F69" s="8"/>
      <c r="G69" s="8"/>
      <c r="H69" s="65"/>
    </row>
    <row r="70" spans="3:8" ht="12.75">
      <c r="C70" s="65"/>
      <c r="D70" s="8"/>
      <c r="E70" s="8"/>
      <c r="F70" s="8"/>
      <c r="G70" s="8"/>
      <c r="H70" s="65"/>
    </row>
    <row r="71" spans="3:8" ht="12.75">
      <c r="C71" s="65"/>
      <c r="D71" s="8"/>
      <c r="E71" s="8"/>
      <c r="F71" s="8"/>
      <c r="G71" s="8"/>
      <c r="H71" s="65"/>
    </row>
    <row r="72" spans="3:8" ht="12.75">
      <c r="C72" s="65"/>
      <c r="D72" s="8"/>
      <c r="E72" s="8"/>
      <c r="F72" s="8"/>
      <c r="G72" s="8"/>
      <c r="H72" s="65"/>
    </row>
    <row r="73" spans="3:8" ht="12.75">
      <c r="C73" s="65"/>
      <c r="D73" s="8"/>
      <c r="E73" s="8"/>
      <c r="F73" s="8"/>
      <c r="G73" s="8"/>
      <c r="H73" s="65"/>
    </row>
    <row r="74" spans="3:8" ht="12.75">
      <c r="C74" s="65"/>
      <c r="D74" s="8"/>
      <c r="E74" s="8"/>
      <c r="F74" s="8"/>
      <c r="G74" s="8"/>
      <c r="H74" s="65"/>
    </row>
    <row r="75" spans="3:8" ht="12.75">
      <c r="C75" s="65"/>
      <c r="D75" s="8"/>
      <c r="E75" s="8"/>
      <c r="F75" s="8"/>
      <c r="G75" s="8"/>
      <c r="H75" s="65"/>
    </row>
    <row r="76" spans="3:8" ht="12.75">
      <c r="C76" s="65"/>
      <c r="D76" s="8"/>
      <c r="E76" s="8"/>
      <c r="F76" s="8"/>
      <c r="G76" s="8"/>
      <c r="H76" s="65"/>
    </row>
    <row r="77" spans="3:8" ht="12.75">
      <c r="C77" s="65"/>
      <c r="D77" s="8"/>
      <c r="E77" s="8"/>
      <c r="F77" s="8"/>
      <c r="G77" s="8"/>
      <c r="H77" s="65"/>
    </row>
    <row r="78" spans="3:8" ht="12.75">
      <c r="C78" s="65"/>
      <c r="D78" s="8"/>
      <c r="E78" s="8"/>
      <c r="F78" s="8"/>
      <c r="G78" s="8"/>
      <c r="H78" s="65"/>
    </row>
    <row r="79" spans="3:8" ht="12.75">
      <c r="C79" s="65"/>
      <c r="D79" s="8"/>
      <c r="E79" s="8"/>
      <c r="F79" s="8"/>
      <c r="G79" s="8"/>
      <c r="H79" s="65"/>
    </row>
    <row r="80" spans="3:8" ht="12.75">
      <c r="C80" s="65"/>
      <c r="D80" s="8"/>
      <c r="E80" s="8"/>
      <c r="F80" s="8"/>
      <c r="G80" s="8"/>
      <c r="H80" s="65"/>
    </row>
    <row r="81" spans="3:8" ht="12.75">
      <c r="C81" s="65"/>
      <c r="D81" s="8"/>
      <c r="E81" s="8"/>
      <c r="F81" s="8"/>
      <c r="G81" s="8"/>
      <c r="H81" s="65"/>
    </row>
    <row r="82" spans="3:8" ht="12.75">
      <c r="C82" s="65"/>
      <c r="D82" s="8"/>
      <c r="E82" s="8"/>
      <c r="F82" s="8"/>
      <c r="G82" s="8"/>
      <c r="H82" s="65"/>
    </row>
    <row r="83" spans="3:8" ht="12.75">
      <c r="C83" s="65"/>
      <c r="D83" s="8"/>
      <c r="E83" s="8"/>
      <c r="F83" s="8"/>
      <c r="G83" s="8"/>
      <c r="H83" s="65"/>
    </row>
    <row r="84" spans="3:8" ht="12.75">
      <c r="C84" s="65"/>
      <c r="D84" s="8"/>
      <c r="E84" s="8"/>
      <c r="F84" s="8"/>
      <c r="G84" s="8"/>
      <c r="H84" s="65"/>
    </row>
    <row r="85" spans="3:8" ht="12.75">
      <c r="C85" s="65"/>
      <c r="D85" s="8"/>
      <c r="E85" s="8"/>
      <c r="F85" s="8"/>
      <c r="G85" s="8"/>
      <c r="H85" s="65"/>
    </row>
    <row r="86" spans="3:8" ht="12.75">
      <c r="C86" s="65"/>
      <c r="D86" s="8"/>
      <c r="E86" s="8"/>
      <c r="F86" s="8"/>
      <c r="G86" s="8"/>
      <c r="H86" s="65"/>
    </row>
    <row r="87" spans="3:8" ht="12.75">
      <c r="C87" s="65"/>
      <c r="D87" s="8"/>
      <c r="E87" s="8"/>
      <c r="F87" s="8"/>
      <c r="G87" s="8"/>
      <c r="H87" s="65"/>
    </row>
    <row r="88" spans="3:8" ht="12.75">
      <c r="C88" s="65"/>
      <c r="D88" s="8"/>
      <c r="E88" s="8"/>
      <c r="F88" s="8"/>
      <c r="G88" s="8"/>
      <c r="H88" s="65"/>
    </row>
    <row r="89" spans="3:8" ht="12.75">
      <c r="C89" s="65"/>
      <c r="D89" s="8"/>
      <c r="E89" s="8"/>
      <c r="F89" s="8"/>
      <c r="G89" s="8"/>
      <c r="H89" s="65"/>
    </row>
    <row r="90" spans="3:8" ht="12.75">
      <c r="C90" s="65"/>
      <c r="D90" s="8"/>
      <c r="E90" s="8"/>
      <c r="F90" s="8"/>
      <c r="G90" s="8"/>
      <c r="H90" s="65"/>
    </row>
    <row r="91" spans="3:8" ht="12.75">
      <c r="C91" s="65"/>
      <c r="D91" s="8"/>
      <c r="E91" s="8"/>
      <c r="F91" s="8"/>
      <c r="G91" s="8"/>
      <c r="H91" s="65"/>
    </row>
    <row r="92" spans="3:8" ht="12.75">
      <c r="C92" s="65"/>
      <c r="D92" s="8"/>
      <c r="E92" s="8"/>
      <c r="F92" s="8"/>
      <c r="G92" s="8"/>
      <c r="H92" s="65"/>
    </row>
    <row r="93" spans="3:8" ht="12.75">
      <c r="C93" s="65"/>
      <c r="D93" s="8"/>
      <c r="E93" s="8"/>
      <c r="F93" s="8"/>
      <c r="G93" s="8"/>
      <c r="H93" s="65"/>
    </row>
    <row r="94" spans="3:8" ht="12.75">
      <c r="C94" s="65"/>
      <c r="D94" s="8"/>
      <c r="E94" s="8"/>
      <c r="F94" s="8"/>
      <c r="G94" s="8"/>
      <c r="H94" s="65"/>
    </row>
    <row r="95" spans="3:8" ht="12.75">
      <c r="C95" s="65"/>
      <c r="D95" s="8"/>
      <c r="E95" s="8"/>
      <c r="F95" s="8"/>
      <c r="G95" s="8"/>
      <c r="H95" s="65"/>
    </row>
    <row r="96" spans="3:8" ht="12.75">
      <c r="C96" s="65"/>
      <c r="D96" s="8"/>
      <c r="E96" s="8"/>
      <c r="F96" s="8"/>
      <c r="G96" s="8"/>
      <c r="H96" s="65"/>
    </row>
    <row r="97" spans="3:8" ht="12.75">
      <c r="C97" s="65"/>
      <c r="D97" s="8"/>
      <c r="E97" s="8"/>
      <c r="F97" s="8"/>
      <c r="G97" s="8"/>
      <c r="H97" s="65"/>
    </row>
    <row r="98" spans="3:8" ht="12.75">
      <c r="C98" s="65"/>
      <c r="D98" s="8"/>
      <c r="E98" s="8"/>
      <c r="F98" s="8"/>
      <c r="G98" s="8"/>
      <c r="H98" s="65"/>
    </row>
    <row r="99" spans="3:8" ht="12.75">
      <c r="C99" s="65"/>
      <c r="D99" s="8"/>
      <c r="E99" s="8"/>
      <c r="F99" s="8"/>
      <c r="G99" s="8"/>
      <c r="H99" s="65"/>
    </row>
    <row r="100" spans="3:8" ht="12.75">
      <c r="C100" s="65"/>
      <c r="D100" s="8"/>
      <c r="E100" s="8"/>
      <c r="F100" s="8"/>
      <c r="G100" s="8"/>
      <c r="H100" s="65"/>
    </row>
    <row r="101" spans="3:8" ht="12.75">
      <c r="C101" s="65"/>
      <c r="D101" s="8"/>
      <c r="E101" s="8"/>
      <c r="F101" s="8"/>
      <c r="G101" s="8"/>
      <c r="H101" s="65"/>
    </row>
    <row r="102" spans="3:8" ht="12.75">
      <c r="C102" s="65"/>
      <c r="D102" s="8"/>
      <c r="E102" s="8"/>
      <c r="F102" s="8"/>
      <c r="G102" s="8"/>
      <c r="H102" s="65"/>
    </row>
    <row r="103" spans="3:8" ht="12.75">
      <c r="C103" s="65"/>
      <c r="D103" s="8"/>
      <c r="E103" s="8"/>
      <c r="F103" s="8"/>
      <c r="G103" s="8"/>
      <c r="H103" s="65"/>
    </row>
    <row r="104" spans="3:8" ht="12.75">
      <c r="C104" s="65"/>
      <c r="D104" s="8"/>
      <c r="E104" s="8"/>
      <c r="F104" s="8"/>
      <c r="G104" s="8"/>
      <c r="H104" s="65"/>
    </row>
    <row r="105" spans="3:8" ht="12.75">
      <c r="C105" s="65"/>
      <c r="D105" s="8"/>
      <c r="E105" s="8"/>
      <c r="F105" s="8"/>
      <c r="G105" s="8"/>
      <c r="H105" s="65"/>
    </row>
  </sheetData>
  <sheetProtection selectLockedCells="1"/>
  <mergeCells count="3">
    <mergeCell ref="C58:G59"/>
    <mergeCell ref="C2:G3"/>
    <mergeCell ref="C57:G57"/>
  </mergeCells>
  <dataValidations count="3">
    <dataValidation type="list" showInputMessage="1" showErrorMessage="1" prompt="Please select an option from the drop-down menu." error="You must select one of the option in the drop-down list." sqref="E18">
      <formula1>$J$18:$J$21</formula1>
    </dataValidation>
    <dataValidation type="list" showInputMessage="1" showErrorMessage="1" prompt="Please select an option from the drop-down menu." error="You must select an option from the drop-down menu." sqref="E20">
      <formula1>$K$3:$K$20</formula1>
    </dataValidation>
    <dataValidation type="list" showInputMessage="1" showErrorMessage="1" prompt="Please select an option from the drop-down menu." error="You must select a number from the drop down list." sqref="E19">
      <formula1>$P$10:$P$12</formula1>
    </dataValidation>
  </dataValidations>
  <printOptions/>
  <pageMargins left="0.32" right="0.37" top="1" bottom="1" header="0.5" footer="0.5"/>
  <pageSetup fitToHeight="1" fitToWidth="1" horizontalDpi="600" verticalDpi="600" orientation="portrait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dwillardson</dc:creator>
  <cp:keywords/>
  <dc:description/>
  <cp:lastModifiedBy>BMcCarthy</cp:lastModifiedBy>
  <cp:lastPrinted>2011-04-01T11:52:26Z</cp:lastPrinted>
  <dcterms:created xsi:type="dcterms:W3CDTF">2010-09-24T14:01:59Z</dcterms:created>
  <dcterms:modified xsi:type="dcterms:W3CDTF">2011-09-01T13:22:35Z</dcterms:modified>
  <cp:category/>
  <cp:version/>
  <cp:contentType/>
  <cp:contentStatus/>
</cp:coreProperties>
</file>